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75"/>
  </bookViews>
  <sheets>
    <sheet name="Budget vs. Actuals" sheetId="1" r:id="rId1"/>
  </sheets>
  <definedNames>
    <definedName name="_xlnm.Print_Area" localSheetId="0">'Budget vs. Actuals'!$A$1:$D$64</definedName>
  </definedNames>
  <calcPr calcId="179017"/>
</workbook>
</file>

<file path=xl/calcChain.xml><?xml version="1.0" encoding="utf-8"?>
<calcChain xmlns="http://schemas.openxmlformats.org/spreadsheetml/2006/main">
  <c r="C62" i="1" l="1"/>
  <c r="C63" i="1" s="1"/>
  <c r="D63" i="1" s="1"/>
  <c r="D61" i="1"/>
  <c r="B61" i="1"/>
  <c r="B62" i="1" s="1"/>
  <c r="B63" i="1" s="1"/>
  <c r="B57" i="1"/>
  <c r="C56" i="1"/>
  <c r="D56" i="1" s="1"/>
  <c r="B56" i="1"/>
  <c r="D55" i="1"/>
  <c r="C54" i="1"/>
  <c r="D54" i="1" s="1"/>
  <c r="D53" i="1"/>
  <c r="C53" i="1"/>
  <c r="B53" i="1"/>
  <c r="B54" i="1" s="1"/>
  <c r="D52" i="1"/>
  <c r="C50" i="1"/>
  <c r="D50" i="1" s="1"/>
  <c r="B50" i="1"/>
  <c r="C49" i="1"/>
  <c r="C51" i="1" s="1"/>
  <c r="B49" i="1"/>
  <c r="B51" i="1" s="1"/>
  <c r="D48" i="1"/>
  <c r="C45" i="1"/>
  <c r="D45" i="1" s="1"/>
  <c r="B45" i="1"/>
  <c r="C44" i="1"/>
  <c r="C46" i="1" s="1"/>
  <c r="D46" i="1" s="1"/>
  <c r="B44" i="1"/>
  <c r="B46" i="1" s="1"/>
  <c r="D43" i="1"/>
  <c r="D41" i="1"/>
  <c r="C41" i="1"/>
  <c r="C40" i="1"/>
  <c r="D40" i="1" s="1"/>
  <c r="B40" i="1"/>
  <c r="C39" i="1"/>
  <c r="D39" i="1" s="1"/>
  <c r="B39" i="1"/>
  <c r="B42" i="1" s="1"/>
  <c r="D38" i="1"/>
  <c r="C37" i="1"/>
  <c r="D37" i="1" s="1"/>
  <c r="B37" i="1"/>
  <c r="C36" i="1"/>
  <c r="B36" i="1"/>
  <c r="D36" i="1" s="1"/>
  <c r="D35" i="1"/>
  <c r="B35" i="1"/>
  <c r="C34" i="1"/>
  <c r="B34" i="1"/>
  <c r="D33" i="1"/>
  <c r="D30" i="1"/>
  <c r="C30" i="1"/>
  <c r="B30" i="1"/>
  <c r="C29" i="1"/>
  <c r="D29" i="1" s="1"/>
  <c r="C28" i="1"/>
  <c r="C31" i="1" s="1"/>
  <c r="B28" i="1"/>
  <c r="D28" i="1" s="1"/>
  <c r="D27" i="1"/>
  <c r="D25" i="1"/>
  <c r="C25" i="1"/>
  <c r="B25" i="1"/>
  <c r="C24" i="1"/>
  <c r="D24" i="1" s="1"/>
  <c r="B24" i="1"/>
  <c r="C23" i="1"/>
  <c r="D23" i="1" s="1"/>
  <c r="B23" i="1"/>
  <c r="C22" i="1"/>
  <c r="B22" i="1"/>
  <c r="D22" i="1" s="1"/>
  <c r="D21" i="1"/>
  <c r="C21" i="1"/>
  <c r="C26" i="1" s="1"/>
  <c r="B21" i="1"/>
  <c r="D20" i="1"/>
  <c r="C18" i="1"/>
  <c r="C19" i="1" s="1"/>
  <c r="B18" i="1"/>
  <c r="B19" i="1" s="1"/>
  <c r="D17" i="1"/>
  <c r="C16" i="1"/>
  <c r="B16" i="1"/>
  <c r="C15" i="1"/>
  <c r="D15" i="1" s="1"/>
  <c r="D14" i="1"/>
  <c r="D13" i="1"/>
  <c r="B11" i="1"/>
  <c r="B10" i="1"/>
  <c r="D9" i="1"/>
  <c r="C9" i="1"/>
  <c r="B9" i="1"/>
  <c r="C8" i="1"/>
  <c r="D8" i="1" s="1"/>
  <c r="B8" i="1"/>
  <c r="C47" i="1" l="1"/>
  <c r="D47" i="1" s="1"/>
  <c r="D19" i="1"/>
  <c r="D51" i="1"/>
  <c r="C32" i="1"/>
  <c r="B47" i="1"/>
  <c r="D16" i="1"/>
  <c r="D18" i="1"/>
  <c r="B31" i="1"/>
  <c r="D31" i="1" s="1"/>
  <c r="C42" i="1"/>
  <c r="D42" i="1" s="1"/>
  <c r="C10" i="1"/>
  <c r="D34" i="1"/>
  <c r="D44" i="1"/>
  <c r="C57" i="1"/>
  <c r="D57" i="1" s="1"/>
  <c r="D62" i="1"/>
  <c r="B26" i="1"/>
  <c r="B32" i="1" s="1"/>
  <c r="B58" i="1" s="1"/>
  <c r="B59" i="1" s="1"/>
  <c r="B64" i="1" s="1"/>
  <c r="D49" i="1"/>
  <c r="D32" i="1" l="1"/>
  <c r="C58" i="1"/>
  <c r="D58" i="1" s="1"/>
  <c r="D10" i="1"/>
  <c r="C11" i="1"/>
  <c r="D26" i="1"/>
  <c r="C59" i="1" l="1"/>
  <c r="D11" i="1"/>
  <c r="C64" i="1" l="1"/>
  <c r="D64" i="1" s="1"/>
  <c r="D59" i="1"/>
</calcChain>
</file>

<file path=xl/sharedStrings.xml><?xml version="1.0" encoding="utf-8"?>
<sst xmlns="http://schemas.openxmlformats.org/spreadsheetml/2006/main" count="66" uniqueCount="66">
  <si>
    <t>Total</t>
  </si>
  <si>
    <t>Actual</t>
  </si>
  <si>
    <t>Budget</t>
  </si>
  <si>
    <t>% of Budget</t>
  </si>
  <si>
    <t>Income</t>
  </si>
  <si>
    <t xml:space="preserve">   4005 Offerings</t>
  </si>
  <si>
    <t xml:space="preserve">   4012 OS via LifeSpring</t>
  </si>
  <si>
    <t>Total Income</t>
  </si>
  <si>
    <t>Gross Profit</t>
  </si>
  <si>
    <t>Expenses</t>
  </si>
  <si>
    <t xml:space="preserve">   5000 Programs</t>
  </si>
  <si>
    <t xml:space="preserve">      5200 Adult Programs</t>
  </si>
  <si>
    <t xml:space="preserve">         5205 Curriculum</t>
  </si>
  <si>
    <t xml:space="preserve">      Total 5200 Adult Programs</t>
  </si>
  <si>
    <t xml:space="preserve">      5400 Children's Programs</t>
  </si>
  <si>
    <t xml:space="preserve">         5425 Supplies</t>
  </si>
  <si>
    <t xml:space="preserve">      Total 5400 Children's Programs</t>
  </si>
  <si>
    <t xml:space="preserve">      5500 Worship Programs</t>
  </si>
  <si>
    <t xml:space="preserve">         5430 Childcare</t>
  </si>
  <si>
    <t xml:space="preserve">         5505 Music</t>
  </si>
  <si>
    <t xml:space="preserve">         5515 Refreshments</t>
  </si>
  <si>
    <t xml:space="preserve">         5516 Refreshment Supplies</t>
  </si>
  <si>
    <t xml:space="preserve">         5525 Worship Supplies</t>
  </si>
  <si>
    <t xml:space="preserve">      Total 5500 Worship Programs</t>
  </si>
  <si>
    <t xml:space="preserve">      5600 Outreach Programs</t>
  </si>
  <si>
    <t xml:space="preserve">         5510 Second Sunday Social</t>
  </si>
  <si>
    <t xml:space="preserve">         5605 Special Events</t>
  </si>
  <si>
    <t xml:space="preserve">         5620 Special Gifts</t>
  </si>
  <si>
    <t xml:space="preserve">      Total 5600 Outreach Programs</t>
  </si>
  <si>
    <t xml:space="preserve">   Total 5000 Programs</t>
  </si>
  <si>
    <t xml:space="preserve">   6000 Administration</t>
  </si>
  <si>
    <t xml:space="preserve">      6003 Accounting Services</t>
  </si>
  <si>
    <t xml:space="preserve">      6005 Bank Service Charges</t>
  </si>
  <si>
    <t xml:space="preserve">      6010 Insurance</t>
  </si>
  <si>
    <t xml:space="preserve">      6015 Dues &amp; Subscriptions</t>
  </si>
  <si>
    <t xml:space="preserve">      6100 Pastoral Expenses</t>
  </si>
  <si>
    <t xml:space="preserve">         6110 Pastoral Mileage</t>
  </si>
  <si>
    <t xml:space="preserve">         6120 Pastoral Reimbursements</t>
  </si>
  <si>
    <t xml:space="preserve">         6130 Visiting Pastor</t>
  </si>
  <si>
    <t xml:space="preserve">      Total 6100 Pastoral Expenses</t>
  </si>
  <si>
    <t xml:space="preserve">      6200 Office</t>
  </si>
  <si>
    <t xml:space="preserve">         6210 Supplies</t>
  </si>
  <si>
    <t xml:space="preserve">         6215 Postage &amp; Delivery</t>
  </si>
  <si>
    <t xml:space="preserve">      Total 6200 Office</t>
  </si>
  <si>
    <t xml:space="preserve">   Total 6000 Administration</t>
  </si>
  <si>
    <t xml:space="preserve">   7100 Marketing</t>
  </si>
  <si>
    <t xml:space="preserve">      7105 Advertising</t>
  </si>
  <si>
    <t xml:space="preserve">      7120 Website</t>
  </si>
  <si>
    <t xml:space="preserve">   Total 7100 Marketing</t>
  </si>
  <si>
    <t xml:space="preserve">   8000 Facilities</t>
  </si>
  <si>
    <t xml:space="preserve">      8005 Worship Building Rental</t>
  </si>
  <si>
    <t xml:space="preserve">   Total 8000 Facilities</t>
  </si>
  <si>
    <t xml:space="preserve">   9000 Payroll Expense</t>
  </si>
  <si>
    <t xml:space="preserve">      9015 Other Benefits</t>
  </si>
  <si>
    <t xml:space="preserve">   Total 9000 Payroll Expense</t>
  </si>
  <si>
    <t>Total Expenses</t>
  </si>
  <si>
    <t>Net Operating Income</t>
  </si>
  <si>
    <t>Other Income</t>
  </si>
  <si>
    <t xml:space="preserve">   1010 Savings Interest</t>
  </si>
  <si>
    <t>Total Other Income</t>
  </si>
  <si>
    <t>Net Other Income</t>
  </si>
  <si>
    <t>Net Income</t>
  </si>
  <si>
    <t>Wednesday, Jan 16, 2019 08:53:10 AM GMT-8 - Accrual Basis</t>
  </si>
  <si>
    <t>LifeSpring Church</t>
  </si>
  <si>
    <t xml:space="preserve">Budget vs. Actuals: 2018 - FY18 P&amp;L </t>
  </si>
  <si>
    <t>January -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</si>
</sst>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0" fontId="2" fillId="0" borderId="3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activeCell="G39" sqref="G39"/>
    </sheetView>
  </sheetViews>
  <sheetFormatPr defaultRowHeight="15" x14ac:dyDescent="0.25"/>
  <cols>
    <col min="1" max="1" width="32.7109375" customWidth="1"/>
    <col min="2" max="4" width="16.28515625" customWidth="1"/>
  </cols>
  <sheetData>
    <row r="1" spans="1:4" ht="18" x14ac:dyDescent="0.25">
      <c r="A1" s="15" t="s">
        <v>63</v>
      </c>
      <c r="B1" s="14"/>
      <c r="C1" s="14"/>
      <c r="D1" s="14"/>
    </row>
    <row r="2" spans="1:4" ht="18" x14ac:dyDescent="0.25">
      <c r="A2" s="15" t="s">
        <v>64</v>
      </c>
      <c r="B2" s="14"/>
      <c r="C2" s="14"/>
      <c r="D2" s="14"/>
    </row>
    <row r="3" spans="1:4" x14ac:dyDescent="0.25">
      <c r="A3" s="16" t="s">
        <v>65</v>
      </c>
      <c r="B3" s="14"/>
      <c r="C3" s="14"/>
      <c r="D3" s="14"/>
    </row>
    <row r="5" spans="1:4" x14ac:dyDescent="0.25">
      <c r="A5" s="1"/>
      <c r="B5" s="11" t="s">
        <v>0</v>
      </c>
      <c r="C5" s="12"/>
      <c r="D5" s="12"/>
    </row>
    <row r="6" spans="1:4" x14ac:dyDescent="0.25">
      <c r="A6" s="1"/>
      <c r="B6" s="2" t="s">
        <v>1</v>
      </c>
      <c r="C6" s="2" t="s">
        <v>2</v>
      </c>
      <c r="D6" s="2" t="s">
        <v>3</v>
      </c>
    </row>
    <row r="7" spans="1:4" x14ac:dyDescent="0.25">
      <c r="A7" s="3" t="s">
        <v>4</v>
      </c>
      <c r="B7" s="4"/>
      <c r="C7" s="4"/>
      <c r="D7" s="4"/>
    </row>
    <row r="8" spans="1:4" x14ac:dyDescent="0.25">
      <c r="A8" s="3" t="s">
        <v>5</v>
      </c>
      <c r="B8" s="5">
        <f>18553.16</f>
        <v>18553.16</v>
      </c>
      <c r="C8" s="5">
        <f>19700</f>
        <v>19700</v>
      </c>
      <c r="D8" s="6">
        <f>IF(C8=0,"",(B8)/(C8))</f>
        <v>0.94178477157360407</v>
      </c>
    </row>
    <row r="9" spans="1:4" x14ac:dyDescent="0.25">
      <c r="A9" s="3" t="s">
        <v>6</v>
      </c>
      <c r="B9" s="5">
        <f>7482.89</f>
        <v>7482.89</v>
      </c>
      <c r="C9" s="5">
        <f>6200</f>
        <v>6200</v>
      </c>
      <c r="D9" s="6">
        <f>IF(C9=0,"",(B9)/(C9))</f>
        <v>1.206917741935484</v>
      </c>
    </row>
    <row r="10" spans="1:4" x14ac:dyDescent="0.25">
      <c r="A10" s="3" t="s">
        <v>7</v>
      </c>
      <c r="B10" s="7">
        <f>(B8)+(B9)</f>
        <v>26036.05</v>
      </c>
      <c r="C10" s="7">
        <f>(C8)+(C9)</f>
        <v>25900</v>
      </c>
      <c r="D10" s="8">
        <f>IF(C10=0,"",(B10)/(C10))</f>
        <v>1.0052528957528957</v>
      </c>
    </row>
    <row r="11" spans="1:4" x14ac:dyDescent="0.25">
      <c r="A11" s="3" t="s">
        <v>8</v>
      </c>
      <c r="B11" s="7">
        <f>(B10)-(0)</f>
        <v>26036.05</v>
      </c>
      <c r="C11" s="7">
        <f>(C10)-(0)</f>
        <v>25900</v>
      </c>
      <c r="D11" s="8">
        <f>IF(C11=0,"",(B11)/(C11))</f>
        <v>1.0052528957528957</v>
      </c>
    </row>
    <row r="12" spans="1:4" x14ac:dyDescent="0.25">
      <c r="A12" s="3" t="s">
        <v>9</v>
      </c>
      <c r="B12" s="4"/>
      <c r="C12" s="4"/>
      <c r="D12" s="4"/>
    </row>
    <row r="13" spans="1:4" x14ac:dyDescent="0.25">
      <c r="A13" s="3" t="s">
        <v>10</v>
      </c>
      <c r="B13" s="4"/>
      <c r="C13" s="4"/>
      <c r="D13" s="6" t="str">
        <f t="shared" ref="D13:D59" si="0">IF(C13=0,"",(B13)/(C13))</f>
        <v/>
      </c>
    </row>
    <row r="14" spans="1:4" x14ac:dyDescent="0.25">
      <c r="A14" s="3" t="s">
        <v>11</v>
      </c>
      <c r="B14" s="4"/>
      <c r="C14" s="4"/>
      <c r="D14" s="6" t="str">
        <f t="shared" si="0"/>
        <v/>
      </c>
    </row>
    <row r="15" spans="1:4" x14ac:dyDescent="0.25">
      <c r="A15" s="3" t="s">
        <v>12</v>
      </c>
      <c r="B15" s="4"/>
      <c r="C15" s="5">
        <f>200</f>
        <v>200</v>
      </c>
      <c r="D15" s="6">
        <f t="shared" si="0"/>
        <v>0</v>
      </c>
    </row>
    <row r="16" spans="1:4" x14ac:dyDescent="0.25">
      <c r="A16" s="3" t="s">
        <v>13</v>
      </c>
      <c r="B16" s="7">
        <f>(B14)+(B15)</f>
        <v>0</v>
      </c>
      <c r="C16" s="7">
        <f>(C14)+(C15)</f>
        <v>200</v>
      </c>
      <c r="D16" s="8">
        <f t="shared" si="0"/>
        <v>0</v>
      </c>
    </row>
    <row r="17" spans="1:4" x14ac:dyDescent="0.25">
      <c r="A17" s="3" t="s">
        <v>14</v>
      </c>
      <c r="B17" s="4"/>
      <c r="C17" s="4"/>
      <c r="D17" s="6" t="str">
        <f t="shared" si="0"/>
        <v/>
      </c>
    </row>
    <row r="18" spans="1:4" x14ac:dyDescent="0.25">
      <c r="A18" s="3" t="s">
        <v>15</v>
      </c>
      <c r="B18" s="5">
        <f>162.02</f>
        <v>162.02000000000001</v>
      </c>
      <c r="C18" s="5">
        <f>200</f>
        <v>200</v>
      </c>
      <c r="D18" s="6">
        <f t="shared" si="0"/>
        <v>0.81010000000000004</v>
      </c>
    </row>
    <row r="19" spans="1:4" x14ac:dyDescent="0.25">
      <c r="A19" s="3" t="s">
        <v>16</v>
      </c>
      <c r="B19" s="7">
        <f>(B17)+(B18)</f>
        <v>162.02000000000001</v>
      </c>
      <c r="C19" s="7">
        <f>(C17)+(C18)</f>
        <v>200</v>
      </c>
      <c r="D19" s="8">
        <f t="shared" si="0"/>
        <v>0.81010000000000004</v>
      </c>
    </row>
    <row r="20" spans="1:4" x14ac:dyDescent="0.25">
      <c r="A20" s="3" t="s">
        <v>17</v>
      </c>
      <c r="B20" s="4"/>
      <c r="C20" s="4"/>
      <c r="D20" s="6" t="str">
        <f t="shared" si="0"/>
        <v/>
      </c>
    </row>
    <row r="21" spans="1:4" x14ac:dyDescent="0.25">
      <c r="A21" s="3" t="s">
        <v>18</v>
      </c>
      <c r="B21" s="5">
        <f>140</f>
        <v>140</v>
      </c>
      <c r="C21" s="5">
        <f>1820</f>
        <v>1820</v>
      </c>
      <c r="D21" s="6">
        <f t="shared" si="0"/>
        <v>7.6923076923076927E-2</v>
      </c>
    </row>
    <row r="22" spans="1:4" x14ac:dyDescent="0.25">
      <c r="A22" s="3" t="s">
        <v>19</v>
      </c>
      <c r="B22" s="5">
        <f>290.17</f>
        <v>290.17</v>
      </c>
      <c r="C22" s="5">
        <f>361</f>
        <v>361</v>
      </c>
      <c r="D22" s="6">
        <f t="shared" si="0"/>
        <v>0.80379501385041552</v>
      </c>
    </row>
    <row r="23" spans="1:4" x14ac:dyDescent="0.25">
      <c r="A23" s="3" t="s">
        <v>20</v>
      </c>
      <c r="B23" s="5">
        <f>422.85</f>
        <v>422.85</v>
      </c>
      <c r="C23" s="5">
        <f>400</f>
        <v>400</v>
      </c>
      <c r="D23" s="6">
        <f t="shared" si="0"/>
        <v>1.0571250000000001</v>
      </c>
    </row>
    <row r="24" spans="1:4" x14ac:dyDescent="0.25">
      <c r="A24" s="3" t="s">
        <v>21</v>
      </c>
      <c r="B24" s="5">
        <f>187.2</f>
        <v>187.2</v>
      </c>
      <c r="C24" s="5">
        <f>200</f>
        <v>200</v>
      </c>
      <c r="D24" s="6">
        <f t="shared" si="0"/>
        <v>0.93599999999999994</v>
      </c>
    </row>
    <row r="25" spans="1:4" x14ac:dyDescent="0.25">
      <c r="A25" s="3" t="s">
        <v>22</v>
      </c>
      <c r="B25" s="5">
        <f>34.56</f>
        <v>34.56</v>
      </c>
      <c r="C25" s="5">
        <f>100</f>
        <v>100</v>
      </c>
      <c r="D25" s="6">
        <f t="shared" si="0"/>
        <v>0.34560000000000002</v>
      </c>
    </row>
    <row r="26" spans="1:4" x14ac:dyDescent="0.25">
      <c r="A26" s="3" t="s">
        <v>23</v>
      </c>
      <c r="B26" s="7">
        <f>(((((B20)+(B21))+(B22))+(B23))+(B24))+(B25)</f>
        <v>1074.78</v>
      </c>
      <c r="C26" s="7">
        <f>(((((C20)+(C21))+(C22))+(C23))+(C24))+(C25)</f>
        <v>2881</v>
      </c>
      <c r="D26" s="8">
        <f t="shared" si="0"/>
        <v>0.37305796598403329</v>
      </c>
    </row>
    <row r="27" spans="1:4" x14ac:dyDescent="0.25">
      <c r="A27" s="3" t="s">
        <v>24</v>
      </c>
      <c r="B27" s="4"/>
      <c r="C27" s="4"/>
      <c r="D27" s="6" t="str">
        <f t="shared" si="0"/>
        <v/>
      </c>
    </row>
    <row r="28" spans="1:4" x14ac:dyDescent="0.25">
      <c r="A28" s="3" t="s">
        <v>25</v>
      </c>
      <c r="B28" s="5">
        <f>788.16</f>
        <v>788.16</v>
      </c>
      <c r="C28" s="5">
        <f>325</f>
        <v>325</v>
      </c>
      <c r="D28" s="6">
        <f t="shared" si="0"/>
        <v>2.4251076923076922</v>
      </c>
    </row>
    <row r="29" spans="1:4" x14ac:dyDescent="0.25">
      <c r="A29" s="3" t="s">
        <v>26</v>
      </c>
      <c r="B29" s="4"/>
      <c r="C29" s="5">
        <f>200</f>
        <v>200</v>
      </c>
      <c r="D29" s="6">
        <f t="shared" si="0"/>
        <v>0</v>
      </c>
    </row>
    <row r="30" spans="1:4" x14ac:dyDescent="0.25">
      <c r="A30" s="3" t="s">
        <v>27</v>
      </c>
      <c r="B30" s="5">
        <f>932</f>
        <v>932</v>
      </c>
      <c r="C30" s="5">
        <f>500</f>
        <v>500</v>
      </c>
      <c r="D30" s="6">
        <f t="shared" si="0"/>
        <v>1.8640000000000001</v>
      </c>
    </row>
    <row r="31" spans="1:4" x14ac:dyDescent="0.25">
      <c r="A31" s="3" t="s">
        <v>28</v>
      </c>
      <c r="B31" s="7">
        <f>(((B27)+(B28))+(B29))+(B30)</f>
        <v>1720.1599999999999</v>
      </c>
      <c r="C31" s="7">
        <f>(((C27)+(C28))+(C29))+(C30)</f>
        <v>1025</v>
      </c>
      <c r="D31" s="8">
        <f t="shared" si="0"/>
        <v>1.6782048780487804</v>
      </c>
    </row>
    <row r="32" spans="1:4" x14ac:dyDescent="0.25">
      <c r="A32" s="3" t="s">
        <v>29</v>
      </c>
      <c r="B32" s="7">
        <f>((((B13)+(B16))+(B19))+(B26))+(B31)</f>
        <v>2956.96</v>
      </c>
      <c r="C32" s="7">
        <f>((((C13)+(C16))+(C19))+(C26))+(C31)</f>
        <v>4306</v>
      </c>
      <c r="D32" s="8">
        <f t="shared" si="0"/>
        <v>0.68670692057594052</v>
      </c>
    </row>
    <row r="33" spans="1:4" x14ac:dyDescent="0.25">
      <c r="A33" s="3" t="s">
        <v>30</v>
      </c>
      <c r="B33" s="4"/>
      <c r="C33" s="4"/>
      <c r="D33" s="6" t="str">
        <f t="shared" si="0"/>
        <v/>
      </c>
    </row>
    <row r="34" spans="1:4" x14ac:dyDescent="0.25">
      <c r="A34" s="3" t="s">
        <v>31</v>
      </c>
      <c r="B34" s="5">
        <f>1500</f>
        <v>1500</v>
      </c>
      <c r="C34" s="5">
        <f>1515</f>
        <v>1515</v>
      </c>
      <c r="D34" s="6">
        <f t="shared" si="0"/>
        <v>0.99009900990099009</v>
      </c>
    </row>
    <row r="35" spans="1:4" x14ac:dyDescent="0.25">
      <c r="A35" s="3" t="s">
        <v>32</v>
      </c>
      <c r="B35" s="5">
        <f>15</f>
        <v>15</v>
      </c>
      <c r="C35" s="4"/>
      <c r="D35" s="6" t="str">
        <f t="shared" si="0"/>
        <v/>
      </c>
    </row>
    <row r="36" spans="1:4" x14ac:dyDescent="0.25">
      <c r="A36" s="3" t="s">
        <v>33</v>
      </c>
      <c r="B36" s="5">
        <f>793</f>
        <v>793</v>
      </c>
      <c r="C36" s="5">
        <f>805</f>
        <v>805</v>
      </c>
      <c r="D36" s="6">
        <f t="shared" si="0"/>
        <v>0.98509316770186339</v>
      </c>
    </row>
    <row r="37" spans="1:4" x14ac:dyDescent="0.25">
      <c r="A37" s="3" t="s">
        <v>34</v>
      </c>
      <c r="B37" s="5">
        <f>667.56</f>
        <v>667.56</v>
      </c>
      <c r="C37" s="5">
        <f>700</f>
        <v>700</v>
      </c>
      <c r="D37" s="6">
        <f t="shared" si="0"/>
        <v>0.95365714285714276</v>
      </c>
    </row>
    <row r="38" spans="1:4" x14ac:dyDescent="0.25">
      <c r="A38" s="3" t="s">
        <v>35</v>
      </c>
      <c r="B38" s="4"/>
      <c r="C38" s="4"/>
      <c r="D38" s="6" t="str">
        <f t="shared" si="0"/>
        <v/>
      </c>
    </row>
    <row r="39" spans="1:4" x14ac:dyDescent="0.25">
      <c r="A39" s="3" t="s">
        <v>36</v>
      </c>
      <c r="B39" s="5">
        <f>1114.46</f>
        <v>1114.46</v>
      </c>
      <c r="C39" s="5">
        <f>1640</f>
        <v>1640</v>
      </c>
      <c r="D39" s="6">
        <f t="shared" si="0"/>
        <v>0.67954878048780487</v>
      </c>
    </row>
    <row r="40" spans="1:4" x14ac:dyDescent="0.25">
      <c r="A40" s="3" t="s">
        <v>37</v>
      </c>
      <c r="B40" s="5">
        <f>1234.59</f>
        <v>1234.5899999999999</v>
      </c>
      <c r="C40" s="5">
        <f>1400</f>
        <v>1400</v>
      </c>
      <c r="D40" s="6">
        <f t="shared" si="0"/>
        <v>0.88184999999999991</v>
      </c>
    </row>
    <row r="41" spans="1:4" x14ac:dyDescent="0.25">
      <c r="A41" s="3" t="s">
        <v>38</v>
      </c>
      <c r="B41" s="4"/>
      <c r="C41" s="5">
        <f>300</f>
        <v>300</v>
      </c>
      <c r="D41" s="6">
        <f t="shared" si="0"/>
        <v>0</v>
      </c>
    </row>
    <row r="42" spans="1:4" x14ac:dyDescent="0.25">
      <c r="A42" s="3" t="s">
        <v>39</v>
      </c>
      <c r="B42" s="7">
        <f>(((B38)+(B39))+(B40))+(B41)</f>
        <v>2349.0500000000002</v>
      </c>
      <c r="C42" s="7">
        <f>(((C38)+(C39))+(C40))+(C41)</f>
        <v>3340</v>
      </c>
      <c r="D42" s="8">
        <f t="shared" si="0"/>
        <v>0.70330838323353295</v>
      </c>
    </row>
    <row r="43" spans="1:4" x14ac:dyDescent="0.25">
      <c r="A43" s="3" t="s">
        <v>40</v>
      </c>
      <c r="B43" s="4"/>
      <c r="C43" s="4"/>
      <c r="D43" s="6" t="str">
        <f t="shared" si="0"/>
        <v/>
      </c>
    </row>
    <row r="44" spans="1:4" x14ac:dyDescent="0.25">
      <c r="A44" s="3" t="s">
        <v>41</v>
      </c>
      <c r="B44" s="5">
        <f>33.63</f>
        <v>33.630000000000003</v>
      </c>
      <c r="C44" s="5">
        <f>280</f>
        <v>280</v>
      </c>
      <c r="D44" s="6">
        <f t="shared" si="0"/>
        <v>0.12010714285714287</v>
      </c>
    </row>
    <row r="45" spans="1:4" x14ac:dyDescent="0.25">
      <c r="A45" s="3" t="s">
        <v>42</v>
      </c>
      <c r="B45" s="5">
        <f>168</f>
        <v>168</v>
      </c>
      <c r="C45" s="5">
        <f>190</f>
        <v>190</v>
      </c>
      <c r="D45" s="6">
        <f t="shared" si="0"/>
        <v>0.88421052631578945</v>
      </c>
    </row>
    <row r="46" spans="1:4" x14ac:dyDescent="0.25">
      <c r="A46" s="3" t="s">
        <v>43</v>
      </c>
      <c r="B46" s="7">
        <f>((B43)+(B44))+(B45)</f>
        <v>201.63</v>
      </c>
      <c r="C46" s="7">
        <f>((C43)+(C44))+(C45)</f>
        <v>470</v>
      </c>
      <c r="D46" s="8">
        <f t="shared" si="0"/>
        <v>0.42899999999999999</v>
      </c>
    </row>
    <row r="47" spans="1:4" x14ac:dyDescent="0.25">
      <c r="A47" s="3" t="s">
        <v>44</v>
      </c>
      <c r="B47" s="7">
        <f>((((((B33)+(B34))+(B35))+(B36))+(B37))+(B42))+(B46)</f>
        <v>5526.2400000000007</v>
      </c>
      <c r="C47" s="7">
        <f>((((((C33)+(C34))+(C35))+(C36))+(C37))+(C42))+(C46)</f>
        <v>6830</v>
      </c>
      <c r="D47" s="8">
        <f t="shared" si="0"/>
        <v>0.80911273792093719</v>
      </c>
    </row>
    <row r="48" spans="1:4" x14ac:dyDescent="0.25">
      <c r="A48" s="3" t="s">
        <v>45</v>
      </c>
      <c r="B48" s="4"/>
      <c r="C48" s="4"/>
      <c r="D48" s="6" t="str">
        <f t="shared" si="0"/>
        <v/>
      </c>
    </row>
    <row r="49" spans="1:4" x14ac:dyDescent="0.25">
      <c r="A49" s="3" t="s">
        <v>46</v>
      </c>
      <c r="B49" s="5">
        <f>399</f>
        <v>399</v>
      </c>
      <c r="C49" s="5">
        <f>384</f>
        <v>384</v>
      </c>
      <c r="D49" s="6">
        <f t="shared" si="0"/>
        <v>1.0390625</v>
      </c>
    </row>
    <row r="50" spans="1:4" x14ac:dyDescent="0.25">
      <c r="A50" s="3" t="s">
        <v>47</v>
      </c>
      <c r="B50" s="5">
        <f>450</f>
        <v>450</v>
      </c>
      <c r="C50" s="5">
        <f>680</f>
        <v>680</v>
      </c>
      <c r="D50" s="6">
        <f t="shared" si="0"/>
        <v>0.66176470588235292</v>
      </c>
    </row>
    <row r="51" spans="1:4" x14ac:dyDescent="0.25">
      <c r="A51" s="3" t="s">
        <v>48</v>
      </c>
      <c r="B51" s="7">
        <f>((B48)+(B49))+(B50)</f>
        <v>849</v>
      </c>
      <c r="C51" s="7">
        <f>((C48)+(C49))+(C50)</f>
        <v>1064</v>
      </c>
      <c r="D51" s="8">
        <f t="shared" si="0"/>
        <v>0.79793233082706772</v>
      </c>
    </row>
    <row r="52" spans="1:4" x14ac:dyDescent="0.25">
      <c r="A52" s="3" t="s">
        <v>49</v>
      </c>
      <c r="B52" s="4"/>
      <c r="C52" s="4"/>
      <c r="D52" s="6" t="str">
        <f t="shared" si="0"/>
        <v/>
      </c>
    </row>
    <row r="53" spans="1:4" x14ac:dyDescent="0.25">
      <c r="A53" s="3" t="s">
        <v>50</v>
      </c>
      <c r="B53" s="5">
        <f>6500</f>
        <v>6500</v>
      </c>
      <c r="C53" s="5">
        <f>6500</f>
        <v>6500</v>
      </c>
      <c r="D53" s="6">
        <f t="shared" si="0"/>
        <v>1</v>
      </c>
    </row>
    <row r="54" spans="1:4" x14ac:dyDescent="0.25">
      <c r="A54" s="3" t="s">
        <v>51</v>
      </c>
      <c r="B54" s="7">
        <f>(B52)+(B53)</f>
        <v>6500</v>
      </c>
      <c r="C54" s="7">
        <f>(C52)+(C53)</f>
        <v>6500</v>
      </c>
      <c r="D54" s="8">
        <f t="shared" si="0"/>
        <v>1</v>
      </c>
    </row>
    <row r="55" spans="1:4" x14ac:dyDescent="0.25">
      <c r="A55" s="3" t="s">
        <v>52</v>
      </c>
      <c r="B55" s="4"/>
      <c r="C55" s="4"/>
      <c r="D55" s="6" t="str">
        <f t="shared" si="0"/>
        <v/>
      </c>
    </row>
    <row r="56" spans="1:4" x14ac:dyDescent="0.25">
      <c r="A56" s="3" t="s">
        <v>53</v>
      </c>
      <c r="B56" s="5">
        <f>7200</f>
        <v>7200</v>
      </c>
      <c r="C56" s="5">
        <f>7200</f>
        <v>7200</v>
      </c>
      <c r="D56" s="6">
        <f t="shared" si="0"/>
        <v>1</v>
      </c>
    </row>
    <row r="57" spans="1:4" x14ac:dyDescent="0.25">
      <c r="A57" s="3" t="s">
        <v>54</v>
      </c>
      <c r="B57" s="7">
        <f>(B55)+(B56)</f>
        <v>7200</v>
      </c>
      <c r="C57" s="7">
        <f>(C55)+(C56)</f>
        <v>7200</v>
      </c>
      <c r="D57" s="8">
        <f t="shared" si="0"/>
        <v>1</v>
      </c>
    </row>
    <row r="58" spans="1:4" x14ac:dyDescent="0.25">
      <c r="A58" s="3" t="s">
        <v>55</v>
      </c>
      <c r="B58" s="7">
        <f>((((B32)+(B47))+(B51))+(B54))+(B57)</f>
        <v>23032.2</v>
      </c>
      <c r="C58" s="7">
        <f>((((C32)+(C47))+(C51))+(C54))+(C57)</f>
        <v>25900</v>
      </c>
      <c r="D58" s="8">
        <f t="shared" si="0"/>
        <v>0.88927413127413135</v>
      </c>
    </row>
    <row r="59" spans="1:4" x14ac:dyDescent="0.25">
      <c r="A59" s="3" t="s">
        <v>56</v>
      </c>
      <c r="B59" s="7">
        <f>(B11)-(B58)</f>
        <v>3003.8499999999985</v>
      </c>
      <c r="C59" s="7">
        <f>(C11)-(C58)</f>
        <v>0</v>
      </c>
      <c r="D59" s="8" t="str">
        <f t="shared" si="0"/>
        <v/>
      </c>
    </row>
    <row r="60" spans="1:4" x14ac:dyDescent="0.25">
      <c r="A60" s="3" t="s">
        <v>57</v>
      </c>
      <c r="B60" s="4"/>
      <c r="C60" s="4"/>
      <c r="D60" s="4"/>
    </row>
    <row r="61" spans="1:4" x14ac:dyDescent="0.25">
      <c r="A61" s="3" t="s">
        <v>58</v>
      </c>
      <c r="B61" s="5">
        <f>2.45</f>
        <v>2.4500000000000002</v>
      </c>
      <c r="C61" s="4"/>
      <c r="D61" s="6" t="str">
        <f>IF(C61=0,"",(B61)/(C61))</f>
        <v/>
      </c>
    </row>
    <row r="62" spans="1:4" x14ac:dyDescent="0.25">
      <c r="A62" s="3" t="s">
        <v>59</v>
      </c>
      <c r="B62" s="7">
        <f>B61</f>
        <v>2.4500000000000002</v>
      </c>
      <c r="C62" s="7">
        <f>C61</f>
        <v>0</v>
      </c>
      <c r="D62" s="8" t="str">
        <f>IF(C62=0,"",(B62)/(C62))</f>
        <v/>
      </c>
    </row>
    <row r="63" spans="1:4" x14ac:dyDescent="0.25">
      <c r="A63" s="3" t="s">
        <v>60</v>
      </c>
      <c r="B63" s="7">
        <f>(B62)-(0)</f>
        <v>2.4500000000000002</v>
      </c>
      <c r="C63" s="7">
        <f>(C62)-(0)</f>
        <v>0</v>
      </c>
      <c r="D63" s="8" t="str">
        <f>IF(C63=0,"",(B63)/(C63))</f>
        <v/>
      </c>
    </row>
    <row r="64" spans="1:4" x14ac:dyDescent="0.25">
      <c r="A64" s="3" t="s">
        <v>61</v>
      </c>
      <c r="B64" s="9">
        <f>(B59)+(B63)</f>
        <v>3006.2999999999984</v>
      </c>
      <c r="C64" s="9">
        <f>(C59)+(C63)</f>
        <v>0</v>
      </c>
      <c r="D64" s="10" t="str">
        <f>IF(C64=0,"",(B64)/(C64))</f>
        <v/>
      </c>
    </row>
    <row r="65" spans="1:4" x14ac:dyDescent="0.25">
      <c r="A65" s="3"/>
      <c r="B65" s="4"/>
      <c r="C65" s="4"/>
      <c r="D65" s="4"/>
    </row>
    <row r="68" spans="1:4" x14ac:dyDescent="0.25">
      <c r="A68" s="13" t="s">
        <v>62</v>
      </c>
      <c r="B68" s="14"/>
      <c r="C68" s="14"/>
      <c r="D68" s="14"/>
    </row>
  </sheetData>
  <mergeCells count="5">
    <mergeCell ref="B5:D5"/>
    <mergeCell ref="A68:D68"/>
    <mergeCell ref="A1:D1"/>
    <mergeCell ref="A2:D2"/>
    <mergeCell ref="A3:D3"/>
  </mergeCells>
  <pageMargins left="0.2" right="0.2" top="0.25" bottom="0.25" header="0.3" footer="0.3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vs. Actuals</vt:lpstr>
      <vt:lpstr>'Budget vs. Actuals'!Print_Area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Bruce &amp; Bev</cp:lastModifiedBy>
  <dcterms:created xsi:type="dcterms:W3CDTF">2019-01-16T16:53:10Z</dcterms:created>
  <dcterms:modified xsi:type="dcterms:W3CDTF">2019-01-20T21:48:15Z</dcterms:modified>
</cp:coreProperties>
</file>