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LifeSpring Documents\Round Table\200127 Round Table\"/>
    </mc:Choice>
  </mc:AlternateContent>
  <xr:revisionPtr revIDLastSave="0" documentId="8_{84582EEE-FB46-447E-8717-BCDB95F2C1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 vs. Actuals" sheetId="1" r:id="rId1"/>
  </sheets>
  <definedNames>
    <definedName name="_xlnm.Print_Area" localSheetId="0">'Budget vs. Actuals'!$A$1:$F$57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B32" i="1"/>
  <c r="C21" i="1"/>
  <c r="C20" i="1"/>
  <c r="C19" i="1"/>
  <c r="F51" i="1"/>
  <c r="F52" i="1" s="1"/>
  <c r="F48" i="1"/>
  <c r="F49" i="1" s="1"/>
  <c r="F35" i="1"/>
  <c r="F25" i="1"/>
  <c r="F26" i="1" s="1"/>
  <c r="F22" i="1"/>
  <c r="F16" i="1"/>
  <c r="F8" i="1"/>
  <c r="F41" i="1" l="1"/>
  <c r="F36" i="1"/>
  <c r="F10" i="1"/>
  <c r="F11" i="1" s="1"/>
  <c r="F27" i="1"/>
  <c r="B52" i="1"/>
  <c r="B49" i="1"/>
  <c r="D50" i="1"/>
  <c r="D47" i="1"/>
  <c r="D43" i="1"/>
  <c r="D38" i="1"/>
  <c r="D37" i="1"/>
  <c r="D33" i="1"/>
  <c r="D30" i="1"/>
  <c r="D28" i="1"/>
  <c r="D23" i="1"/>
  <c r="D17" i="1"/>
  <c r="D14" i="1"/>
  <c r="D13" i="1"/>
  <c r="F42" i="1" l="1"/>
  <c r="F53" i="1" s="1"/>
  <c r="F54" i="1" s="1"/>
  <c r="B44" i="1"/>
  <c r="B46" i="1" s="1"/>
  <c r="B40" i="1"/>
  <c r="B41" i="1" s="1"/>
  <c r="B37" i="1"/>
  <c r="B35" i="1"/>
  <c r="B34" i="1"/>
  <c r="B33" i="1"/>
  <c r="B36" i="1" s="1"/>
  <c r="B31" i="1"/>
  <c r="B30" i="1"/>
  <c r="B29" i="1"/>
  <c r="B42" i="1" s="1"/>
  <c r="B25" i="1"/>
  <c r="B24" i="1"/>
  <c r="B21" i="1"/>
  <c r="B20" i="1"/>
  <c r="B19" i="1"/>
  <c r="B18" i="1"/>
  <c r="B15" i="1"/>
  <c r="B16" i="1" s="1"/>
  <c r="B9" i="1"/>
  <c r="B8" i="1"/>
  <c r="B22" i="1" l="1"/>
  <c r="B26" i="1"/>
  <c r="B10" i="1"/>
  <c r="C51" i="1"/>
  <c r="D51" i="1" s="1"/>
  <c r="C48" i="1"/>
  <c r="D48" i="1" s="1"/>
  <c r="C45" i="1"/>
  <c r="D45" i="1" s="1"/>
  <c r="C44" i="1"/>
  <c r="D44" i="1" s="1"/>
  <c r="C40" i="1"/>
  <c r="D40" i="1" s="1"/>
  <c r="C39" i="1"/>
  <c r="D39" i="1" s="1"/>
  <c r="C35" i="1"/>
  <c r="D35" i="1" s="1"/>
  <c r="C34" i="1"/>
  <c r="D34" i="1" s="1"/>
  <c r="C32" i="1"/>
  <c r="D32" i="1" s="1"/>
  <c r="C31" i="1"/>
  <c r="D31" i="1" s="1"/>
  <c r="C29" i="1"/>
  <c r="D29" i="1" s="1"/>
  <c r="C25" i="1"/>
  <c r="D25" i="1" s="1"/>
  <c r="C24" i="1"/>
  <c r="D24" i="1" s="1"/>
  <c r="D21" i="1"/>
  <c r="D20" i="1"/>
  <c r="D19" i="1"/>
  <c r="C18" i="1"/>
  <c r="D18" i="1" s="1"/>
  <c r="C15" i="1"/>
  <c r="D15" i="1" s="1"/>
  <c r="C9" i="1"/>
  <c r="D9" i="1" s="1"/>
  <c r="C8" i="1"/>
  <c r="D8" i="1" s="1"/>
  <c r="C16" i="1" l="1"/>
  <c r="D16" i="1" s="1"/>
  <c r="C49" i="1"/>
  <c r="D49" i="1" s="1"/>
  <c r="C10" i="1"/>
  <c r="D10" i="1" s="1"/>
  <c r="B27" i="1"/>
  <c r="B53" i="1" s="1"/>
  <c r="B11" i="1"/>
  <c r="C22" i="1"/>
  <c r="D22" i="1" s="1"/>
  <c r="C41" i="1"/>
  <c r="D41" i="1" s="1"/>
  <c r="C26" i="1"/>
  <c r="D26" i="1" s="1"/>
  <c r="C36" i="1"/>
  <c r="D36" i="1" s="1"/>
  <c r="C46" i="1"/>
  <c r="D46" i="1" s="1"/>
  <c r="C52" i="1"/>
  <c r="D52" i="1" s="1"/>
  <c r="B54" i="1" l="1"/>
  <c r="C11" i="1"/>
  <c r="D11" i="1" s="1"/>
  <c r="C42" i="1"/>
  <c r="D42" i="1" s="1"/>
  <c r="C27" i="1"/>
  <c r="D27" i="1" l="1"/>
  <c r="C53" i="1"/>
  <c r="D53" i="1" s="1"/>
  <c r="C54" i="1" l="1"/>
  <c r="D54" i="1" s="1"/>
</calcChain>
</file>

<file path=xl/sharedStrings.xml><?xml version="1.0" encoding="utf-8"?>
<sst xmlns="http://schemas.openxmlformats.org/spreadsheetml/2006/main" count="56" uniqueCount="56">
  <si>
    <t>% of Budget</t>
  </si>
  <si>
    <t>Income</t>
  </si>
  <si>
    <t xml:space="preserve">   4005 Offerings</t>
  </si>
  <si>
    <t xml:space="preserve">   4012 OS via LifeSpring</t>
  </si>
  <si>
    <t>Total Income</t>
  </si>
  <si>
    <t>Gross Profit</t>
  </si>
  <si>
    <t>Expenses</t>
  </si>
  <si>
    <t xml:space="preserve">   5000 Programs</t>
  </si>
  <si>
    <t xml:space="preserve">      5400 Children's Programs</t>
  </si>
  <si>
    <t xml:space="preserve">         5425 Supplies</t>
  </si>
  <si>
    <t xml:space="preserve">      Total 5400 Children's Programs</t>
  </si>
  <si>
    <t xml:space="preserve">      5500 Worship Programs</t>
  </si>
  <si>
    <t xml:space="preserve">         5505 Music</t>
  </si>
  <si>
    <t xml:space="preserve">         5515 Refreshments</t>
  </si>
  <si>
    <t xml:space="preserve">         5516 Refreshment Supplies</t>
  </si>
  <si>
    <t xml:space="preserve">         5525 Worship Supplies</t>
  </si>
  <si>
    <t xml:space="preserve">      Total 5500 Worship Programs</t>
  </si>
  <si>
    <t xml:space="preserve">      5600 Outreach Programs</t>
  </si>
  <si>
    <t xml:space="preserve">         5510 Second Sunday Social</t>
  </si>
  <si>
    <t xml:space="preserve">         5620 Special Gifts</t>
  </si>
  <si>
    <t xml:space="preserve">      Total 5600 Outreach Programs</t>
  </si>
  <si>
    <t xml:space="preserve">   Total 5000 Programs</t>
  </si>
  <si>
    <t xml:space="preserve">   6000 Administration</t>
  </si>
  <si>
    <t xml:space="preserve">      6003 Accounting Services</t>
  </si>
  <si>
    <t xml:space="preserve">      6005 Bank Service Charges</t>
  </si>
  <si>
    <t xml:space="preserve">      6010 Insurance</t>
  </si>
  <si>
    <t xml:space="preserve">      6015 Dues &amp; Subscriptions</t>
  </si>
  <si>
    <t xml:space="preserve">      6100 Pastoral Expenses</t>
  </si>
  <si>
    <t xml:space="preserve">         6110 Pastoral Mileage</t>
  </si>
  <si>
    <t xml:space="preserve">         6120 Pastoral Reimbursements</t>
  </si>
  <si>
    <t xml:space="preserve">         6130 Visiting Pastor</t>
  </si>
  <si>
    <t xml:space="preserve">      Total 6100 Pastoral Expenses</t>
  </si>
  <si>
    <t xml:space="preserve">      6200 Office</t>
  </si>
  <si>
    <t xml:space="preserve">         6210 Supplies</t>
  </si>
  <si>
    <t xml:space="preserve">         6215 Postage &amp; Delivery</t>
  </si>
  <si>
    <t xml:space="preserve">      Total 6200 Office</t>
  </si>
  <si>
    <t xml:space="preserve">   Total 6000 Administration</t>
  </si>
  <si>
    <t xml:space="preserve">   7100 Marketing</t>
  </si>
  <si>
    <t xml:space="preserve">      7105 Advertising</t>
  </si>
  <si>
    <t xml:space="preserve">      7120 Website</t>
  </si>
  <si>
    <t xml:space="preserve">   Total 7100 Marketing</t>
  </si>
  <si>
    <t xml:space="preserve">   8000 Facilities</t>
  </si>
  <si>
    <t xml:space="preserve">      8005 Worship Building Rental</t>
  </si>
  <si>
    <t xml:space="preserve">   Total 8000 Facilities</t>
  </si>
  <si>
    <t xml:space="preserve">   9000 Payroll Expense</t>
  </si>
  <si>
    <t xml:space="preserve">      9015 Other Benefits</t>
  </si>
  <si>
    <t xml:space="preserve">   Total 9000 Payroll Expense</t>
  </si>
  <si>
    <t>Total Expenses</t>
  </si>
  <si>
    <t>Net Operating Income</t>
  </si>
  <si>
    <t>LifeSpring Church</t>
  </si>
  <si>
    <t>2019 Budget</t>
  </si>
  <si>
    <t>2019 end of year</t>
  </si>
  <si>
    <t>2020 Budget</t>
  </si>
  <si>
    <t>Website?</t>
  </si>
  <si>
    <t>Second Sunday Social?</t>
  </si>
  <si>
    <t>Budget vs. Actuals: 2019 with suggest 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</si>
</sst>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 wrapText="1"/>
    </xf>
    <xf numFmtId="164" fontId="3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12" workbookViewId="0">
      <selection activeCell="E41" sqref="E41"/>
    </sheetView>
  </sheetViews>
  <sheetFormatPr defaultRowHeight="14.5" x14ac:dyDescent="0.35"/>
  <cols>
    <col min="1" max="1" width="32.7265625" customWidth="1"/>
    <col min="2" max="2" width="14.54296875" bestFit="1" customWidth="1"/>
    <col min="3" max="3" width="11.1796875" bestFit="1" customWidth="1"/>
    <col min="4" max="4" width="10.453125" bestFit="1" customWidth="1"/>
    <col min="6" max="6" width="11.1796875" bestFit="1" customWidth="1"/>
  </cols>
  <sheetData>
    <row r="1" spans="1:6" ht="18" x14ac:dyDescent="0.4">
      <c r="A1" s="16" t="s">
        <v>49</v>
      </c>
      <c r="B1" s="16"/>
      <c r="C1" s="16"/>
      <c r="D1" s="16"/>
      <c r="E1" s="16"/>
    </row>
    <row r="2" spans="1:6" ht="18" x14ac:dyDescent="0.4">
      <c r="A2" s="16" t="s">
        <v>55</v>
      </c>
      <c r="B2" s="16"/>
      <c r="C2" s="16"/>
      <c r="D2" s="16"/>
      <c r="E2" s="16"/>
      <c r="F2" s="16"/>
    </row>
    <row r="3" spans="1:6" x14ac:dyDescent="0.35">
      <c r="A3" s="11"/>
    </row>
    <row r="5" spans="1:6" x14ac:dyDescent="0.35">
      <c r="A5" s="1"/>
    </row>
    <row r="6" spans="1:6" ht="24" x14ac:dyDescent="0.35">
      <c r="A6" s="1"/>
      <c r="B6" s="10" t="s">
        <v>51</v>
      </c>
      <c r="C6" s="2" t="s">
        <v>50</v>
      </c>
      <c r="D6" s="10" t="s">
        <v>0</v>
      </c>
      <c r="F6" s="10" t="s">
        <v>52</v>
      </c>
    </row>
    <row r="7" spans="1:6" x14ac:dyDescent="0.35">
      <c r="A7" s="3" t="s">
        <v>1</v>
      </c>
      <c r="B7" s="4"/>
      <c r="C7" s="4"/>
      <c r="D7" s="4"/>
      <c r="F7" s="4"/>
    </row>
    <row r="8" spans="1:6" x14ac:dyDescent="0.35">
      <c r="A8" s="3" t="s">
        <v>2</v>
      </c>
      <c r="B8" s="5">
        <f>17930.25</f>
        <v>17930.25</v>
      </c>
      <c r="C8" s="5">
        <f>18000</f>
        <v>18000</v>
      </c>
      <c r="D8" s="6">
        <f>IF(C8=0,"",(B8)/(C8))</f>
        <v>0.99612500000000004</v>
      </c>
      <c r="F8" s="5">
        <f>18000</f>
        <v>18000</v>
      </c>
    </row>
    <row r="9" spans="1:6" x14ac:dyDescent="0.35">
      <c r="A9" s="3" t="s">
        <v>3</v>
      </c>
      <c r="B9" s="5">
        <f>7381.02</f>
        <v>7381.02</v>
      </c>
      <c r="C9" s="5">
        <f>5210</f>
        <v>5210</v>
      </c>
      <c r="D9" s="6">
        <f>IF(C9=0,"",(B9)/(C9))</f>
        <v>1.4167024952015357</v>
      </c>
      <c r="F9" s="5">
        <v>5500</v>
      </c>
    </row>
    <row r="10" spans="1:6" x14ac:dyDescent="0.35">
      <c r="A10" s="3" t="s">
        <v>4</v>
      </c>
      <c r="B10" s="8">
        <f>((B8)+(B9))</f>
        <v>25311.27</v>
      </c>
      <c r="C10" s="7">
        <f>(C8)+(C9)</f>
        <v>23210</v>
      </c>
      <c r="D10" s="9">
        <f>IF(C10=0,"",(B10)/(C10))</f>
        <v>1.0905329599310642</v>
      </c>
      <c r="F10" s="7">
        <f>(F8)+(F9)</f>
        <v>23500</v>
      </c>
    </row>
    <row r="11" spans="1:6" x14ac:dyDescent="0.35">
      <c r="A11" s="3" t="s">
        <v>5</v>
      </c>
      <c r="B11" s="8">
        <f>(B10)-(0)</f>
        <v>25311.27</v>
      </c>
      <c r="C11" s="7">
        <f>(C10)-(0)</f>
        <v>23210</v>
      </c>
      <c r="D11" s="9">
        <f>IF(C11=0,"",(B11)/(C11))</f>
        <v>1.0905329599310642</v>
      </c>
      <c r="F11" s="7">
        <f>(F10)-(0)</f>
        <v>23500</v>
      </c>
    </row>
    <row r="12" spans="1:6" x14ac:dyDescent="0.35">
      <c r="A12" s="3" t="s">
        <v>6</v>
      </c>
      <c r="B12" s="4"/>
      <c r="C12" s="4"/>
      <c r="D12" s="4"/>
      <c r="F12" s="4"/>
    </row>
    <row r="13" spans="1:6" x14ac:dyDescent="0.35">
      <c r="A13" s="3" t="s">
        <v>7</v>
      </c>
      <c r="B13" s="4"/>
      <c r="C13" s="4"/>
      <c r="D13" s="6" t="str">
        <f t="shared" ref="D13:D46" si="0">IF(C13=0,"",(B13)/(C13))</f>
        <v/>
      </c>
      <c r="F13" s="4"/>
    </row>
    <row r="14" spans="1:6" x14ac:dyDescent="0.35">
      <c r="A14" s="3" t="s">
        <v>8</v>
      </c>
      <c r="B14" s="4"/>
      <c r="C14" s="4"/>
      <c r="D14" s="6" t="str">
        <f t="shared" si="0"/>
        <v/>
      </c>
      <c r="F14" s="4"/>
    </row>
    <row r="15" spans="1:6" x14ac:dyDescent="0.35">
      <c r="A15" s="3" t="s">
        <v>9</v>
      </c>
      <c r="B15" s="5">
        <f>547.26</f>
        <v>547.26</v>
      </c>
      <c r="C15" s="5">
        <f>200</f>
        <v>200</v>
      </c>
      <c r="D15" s="6">
        <f t="shared" si="0"/>
        <v>2.7363</v>
      </c>
      <c r="F15" s="5">
        <v>300</v>
      </c>
    </row>
    <row r="16" spans="1:6" x14ac:dyDescent="0.35">
      <c r="A16" s="3" t="s">
        <v>10</v>
      </c>
      <c r="B16" s="8">
        <f>(B14)+(B15)</f>
        <v>547.26</v>
      </c>
      <c r="C16" s="7">
        <f>(C14)+(C15)</f>
        <v>200</v>
      </c>
      <c r="D16" s="9">
        <f t="shared" si="0"/>
        <v>2.7363</v>
      </c>
      <c r="F16" s="7">
        <f>(F14)+(F15)</f>
        <v>300</v>
      </c>
    </row>
    <row r="17" spans="1:6" x14ac:dyDescent="0.35">
      <c r="A17" s="3" t="s">
        <v>11</v>
      </c>
      <c r="B17" s="4"/>
      <c r="C17" s="4"/>
      <c r="D17" s="6" t="str">
        <f t="shared" si="0"/>
        <v/>
      </c>
      <c r="F17" s="4"/>
    </row>
    <row r="18" spans="1:6" x14ac:dyDescent="0.35">
      <c r="A18" s="3" t="s">
        <v>12</v>
      </c>
      <c r="B18" s="5">
        <f>188</f>
        <v>188</v>
      </c>
      <c r="C18" s="5">
        <f>300</f>
        <v>300</v>
      </c>
      <c r="D18" s="6">
        <f t="shared" si="0"/>
        <v>0.62666666666666671</v>
      </c>
      <c r="F18" s="5">
        <v>200</v>
      </c>
    </row>
    <row r="19" spans="1:6" x14ac:dyDescent="0.35">
      <c r="A19" s="3" t="s">
        <v>13</v>
      </c>
      <c r="B19" s="5">
        <f>221.26</f>
        <v>221.26</v>
      </c>
      <c r="C19" s="5">
        <f>400</f>
        <v>400</v>
      </c>
      <c r="D19" s="6">
        <f t="shared" si="0"/>
        <v>0.55315000000000003</v>
      </c>
      <c r="F19" s="5">
        <v>275</v>
      </c>
    </row>
    <row r="20" spans="1:6" x14ac:dyDescent="0.35">
      <c r="A20" s="3" t="s">
        <v>14</v>
      </c>
      <c r="B20" s="5">
        <f>273.04</f>
        <v>273.04000000000002</v>
      </c>
      <c r="C20" s="5">
        <f>200</f>
        <v>200</v>
      </c>
      <c r="D20" s="6">
        <f t="shared" si="0"/>
        <v>1.3652000000000002</v>
      </c>
      <c r="F20" s="5">
        <v>300</v>
      </c>
    </row>
    <row r="21" spans="1:6" x14ac:dyDescent="0.35">
      <c r="A21" s="3" t="s">
        <v>15</v>
      </c>
      <c r="B21" s="5">
        <f>152.65</f>
        <v>152.65</v>
      </c>
      <c r="C21" s="5">
        <f>75</f>
        <v>75</v>
      </c>
      <c r="D21" s="6">
        <f t="shared" si="0"/>
        <v>2.0353333333333334</v>
      </c>
      <c r="F21" s="5">
        <v>100</v>
      </c>
    </row>
    <row r="22" spans="1:6" x14ac:dyDescent="0.35">
      <c r="A22" s="3" t="s">
        <v>16</v>
      </c>
      <c r="B22" s="8">
        <f>((((B17)+(B18))+(B19))+(B20))+(B21)</f>
        <v>834.94999999999993</v>
      </c>
      <c r="C22" s="7">
        <f>((((C17)+(C18))+(C19))+(C20))+(C21)</f>
        <v>975</v>
      </c>
      <c r="D22" s="9">
        <f t="shared" si="0"/>
        <v>0.85635897435897423</v>
      </c>
      <c r="F22" s="7">
        <f>((((F17)+(F18))+(F19))+(F20))+(F21)</f>
        <v>875</v>
      </c>
    </row>
    <row r="23" spans="1:6" x14ac:dyDescent="0.35">
      <c r="A23" s="3" t="s">
        <v>17</v>
      </c>
      <c r="B23" s="4"/>
      <c r="C23" s="4"/>
      <c r="D23" s="6" t="str">
        <f t="shared" si="0"/>
        <v/>
      </c>
      <c r="F23" s="4"/>
    </row>
    <row r="24" spans="1:6" x14ac:dyDescent="0.35">
      <c r="A24" s="3" t="s">
        <v>18</v>
      </c>
      <c r="B24" s="5">
        <f>133.46</f>
        <v>133.46</v>
      </c>
      <c r="C24" s="5">
        <f>866</f>
        <v>866</v>
      </c>
      <c r="D24" s="6">
        <f t="shared" si="0"/>
        <v>0.15411085450346421</v>
      </c>
      <c r="F24" s="5">
        <v>850</v>
      </c>
    </row>
    <row r="25" spans="1:6" x14ac:dyDescent="0.35">
      <c r="A25" s="3" t="s">
        <v>19</v>
      </c>
      <c r="B25" s="5">
        <f>299.61</f>
        <v>299.61</v>
      </c>
      <c r="C25" s="5">
        <f>800</f>
        <v>800</v>
      </c>
      <c r="D25" s="6">
        <f t="shared" si="0"/>
        <v>0.37451250000000003</v>
      </c>
      <c r="F25" s="5">
        <f>800</f>
        <v>800</v>
      </c>
    </row>
    <row r="26" spans="1:6" x14ac:dyDescent="0.35">
      <c r="A26" s="3" t="s">
        <v>20</v>
      </c>
      <c r="B26" s="8">
        <f>((B23)+(B24))+(B25)</f>
        <v>433.07000000000005</v>
      </c>
      <c r="C26" s="7">
        <f>((C23)+(C24))+(C25)</f>
        <v>1666</v>
      </c>
      <c r="D26" s="9">
        <f t="shared" si="0"/>
        <v>0.25994597839135658</v>
      </c>
      <c r="F26" s="7">
        <f>((F23)+(F24))+(F25)</f>
        <v>1650</v>
      </c>
    </row>
    <row r="27" spans="1:6" x14ac:dyDescent="0.35">
      <c r="A27" s="3" t="s">
        <v>21</v>
      </c>
      <c r="B27" s="8">
        <f>(((B13)+(B16))+(B22))+(B26)</f>
        <v>1815.2800000000002</v>
      </c>
      <c r="C27" s="7">
        <f>(((C13)+(C16))+(C22))+(C26)</f>
        <v>2841</v>
      </c>
      <c r="D27" s="9">
        <f t="shared" si="0"/>
        <v>0.63895811334037322</v>
      </c>
      <c r="F27" s="7">
        <f>(((F13)+(F16))+(F22))+(F26)</f>
        <v>2825</v>
      </c>
    </row>
    <row r="28" spans="1:6" x14ac:dyDescent="0.35">
      <c r="A28" s="3" t="s">
        <v>22</v>
      </c>
      <c r="B28" s="4"/>
      <c r="C28" s="4"/>
      <c r="D28" s="6" t="str">
        <f t="shared" si="0"/>
        <v/>
      </c>
      <c r="F28" s="4"/>
    </row>
    <row r="29" spans="1:6" x14ac:dyDescent="0.35">
      <c r="A29" s="3" t="s">
        <v>23</v>
      </c>
      <c r="B29" s="5">
        <f>1200</f>
        <v>1200</v>
      </c>
      <c r="C29" s="5">
        <f>1215</f>
        <v>1215</v>
      </c>
      <c r="D29" s="6">
        <f t="shared" si="0"/>
        <v>0.98765432098765427</v>
      </c>
      <c r="F29" s="5">
        <v>1000</v>
      </c>
    </row>
    <row r="30" spans="1:6" x14ac:dyDescent="0.35">
      <c r="A30" s="3" t="s">
        <v>24</v>
      </c>
      <c r="B30" s="5">
        <f>16.5</f>
        <v>16.5</v>
      </c>
      <c r="C30" s="4"/>
      <c r="D30" s="6" t="str">
        <f t="shared" si="0"/>
        <v/>
      </c>
      <c r="F30" s="4"/>
    </row>
    <row r="31" spans="1:6" x14ac:dyDescent="0.35">
      <c r="A31" s="3" t="s">
        <v>25</v>
      </c>
      <c r="B31" s="5">
        <f>801</f>
        <v>801</v>
      </c>
      <c r="C31" s="5">
        <f>800</f>
        <v>800</v>
      </c>
      <c r="D31" s="6">
        <f t="shared" si="0"/>
        <v>1.00125</v>
      </c>
      <c r="F31" s="5">
        <v>801</v>
      </c>
    </row>
    <row r="32" spans="1:6" x14ac:dyDescent="0.35">
      <c r="A32" s="3" t="s">
        <v>26</v>
      </c>
      <c r="B32" s="5">
        <f>1001.8</f>
        <v>1001.8</v>
      </c>
      <c r="C32" s="5">
        <f>700</f>
        <v>700</v>
      </c>
      <c r="D32" s="6">
        <f t="shared" si="0"/>
        <v>1.431142857142857</v>
      </c>
      <c r="F32" s="5">
        <v>1000</v>
      </c>
    </row>
    <row r="33" spans="1:6" x14ac:dyDescent="0.35">
      <c r="A33" s="3" t="s">
        <v>27</v>
      </c>
      <c r="B33" s="5">
        <f>249</f>
        <v>249</v>
      </c>
      <c r="C33" s="4"/>
      <c r="D33" s="6" t="str">
        <f t="shared" si="0"/>
        <v/>
      </c>
      <c r="F33" s="4"/>
    </row>
    <row r="34" spans="1:6" x14ac:dyDescent="0.35">
      <c r="A34" s="3" t="s">
        <v>28</v>
      </c>
      <c r="B34" s="5">
        <f>1654.39</f>
        <v>1654.39</v>
      </c>
      <c r="C34" s="5">
        <f>1200</f>
        <v>1200</v>
      </c>
      <c r="D34" s="6">
        <f t="shared" si="0"/>
        <v>1.3786583333333333</v>
      </c>
      <c r="F34" s="5">
        <v>1500</v>
      </c>
    </row>
    <row r="35" spans="1:6" x14ac:dyDescent="0.35">
      <c r="A35" s="3" t="s">
        <v>29</v>
      </c>
      <c r="B35" s="5">
        <f>977.76</f>
        <v>977.76</v>
      </c>
      <c r="C35" s="5">
        <f>1400</f>
        <v>1400</v>
      </c>
      <c r="D35" s="6">
        <f t="shared" si="0"/>
        <v>0.69840000000000002</v>
      </c>
      <c r="F35" s="5">
        <f>1400</f>
        <v>1400</v>
      </c>
    </row>
    <row r="36" spans="1:6" x14ac:dyDescent="0.35">
      <c r="A36" s="3" t="s">
        <v>31</v>
      </c>
      <c r="B36" s="7">
        <f>(((B33)+(B34))+(B35))</f>
        <v>2881.15</v>
      </c>
      <c r="C36" s="7">
        <f>(((C33)+(C34))+(C35))+(C37)</f>
        <v>2600</v>
      </c>
      <c r="D36" s="9">
        <f t="shared" si="0"/>
        <v>1.1081346153846154</v>
      </c>
      <c r="F36" s="7">
        <f>(((F33)+(F34))+(F35))+(F37)</f>
        <v>2900</v>
      </c>
    </row>
    <row r="37" spans="1:6" x14ac:dyDescent="0.35">
      <c r="A37" s="14" t="s">
        <v>30</v>
      </c>
      <c r="B37" s="13">
        <f>1700.93</f>
        <v>1700.93</v>
      </c>
      <c r="C37" s="4"/>
      <c r="D37" s="6" t="str">
        <f>IF(C37=0,"",(B37)/(C37))</f>
        <v/>
      </c>
      <c r="F37" s="4"/>
    </row>
    <row r="38" spans="1:6" x14ac:dyDescent="0.35">
      <c r="A38" s="3" t="s">
        <v>32</v>
      </c>
      <c r="B38" s="12"/>
      <c r="C38" s="4"/>
      <c r="D38" s="6" t="str">
        <f t="shared" si="0"/>
        <v/>
      </c>
      <c r="F38" s="4"/>
    </row>
    <row r="39" spans="1:6" x14ac:dyDescent="0.35">
      <c r="A39" s="14" t="s">
        <v>33</v>
      </c>
      <c r="B39" s="4"/>
      <c r="C39" s="5">
        <f>100</f>
        <v>100</v>
      </c>
      <c r="D39" s="6">
        <f t="shared" si="0"/>
        <v>0</v>
      </c>
      <c r="F39" s="13"/>
    </row>
    <row r="40" spans="1:6" x14ac:dyDescent="0.35">
      <c r="A40" s="3" t="s">
        <v>34</v>
      </c>
      <c r="B40" s="5">
        <f>222.75</f>
        <v>222.75</v>
      </c>
      <c r="C40" s="5">
        <f>190</f>
        <v>190</v>
      </c>
      <c r="D40" s="6">
        <f t="shared" si="0"/>
        <v>1.1723684210526315</v>
      </c>
      <c r="F40" s="5">
        <v>200</v>
      </c>
    </row>
    <row r="41" spans="1:6" x14ac:dyDescent="0.35">
      <c r="A41" s="3" t="s">
        <v>35</v>
      </c>
      <c r="B41" s="8">
        <f>(B39)+(B40)</f>
        <v>222.75</v>
      </c>
      <c r="C41" s="7">
        <f>((C38)+(C39))+(C40)</f>
        <v>290</v>
      </c>
      <c r="D41" s="9">
        <f t="shared" si="0"/>
        <v>0.76810344827586208</v>
      </c>
      <c r="F41" s="7">
        <f>((F38)+(F39))+(F40)</f>
        <v>200</v>
      </c>
    </row>
    <row r="42" spans="1:6" x14ac:dyDescent="0.35">
      <c r="A42" s="3" t="s">
        <v>36</v>
      </c>
      <c r="B42" s="8">
        <f>((((((B28)+(B29))+(B30))+(B31))+(B32))+(B36))+(B41)+(B37)</f>
        <v>7824.130000000001</v>
      </c>
      <c r="C42" s="7">
        <f>((((((C28)+(C29))+(C30))+(C31))+(C32))+(C36))+(C41)</f>
        <v>5605</v>
      </c>
      <c r="D42" s="9">
        <f t="shared" si="0"/>
        <v>1.3959197145405891</v>
      </c>
      <c r="F42" s="7">
        <f>((((((F28)+(F29))+(F30))+(F31))+(F32))+(F36))+(F41)</f>
        <v>5901</v>
      </c>
    </row>
    <row r="43" spans="1:6" x14ac:dyDescent="0.35">
      <c r="A43" s="3" t="s">
        <v>37</v>
      </c>
      <c r="B43" s="4"/>
      <c r="C43" s="4"/>
      <c r="D43" s="6" t="str">
        <f t="shared" si="0"/>
        <v/>
      </c>
      <c r="F43" s="4"/>
    </row>
    <row r="44" spans="1:6" x14ac:dyDescent="0.35">
      <c r="A44" s="3" t="s">
        <v>38</v>
      </c>
      <c r="B44" s="5">
        <f>456</f>
        <v>456</v>
      </c>
      <c r="C44" s="5">
        <f>384</f>
        <v>384</v>
      </c>
      <c r="D44" s="6">
        <f t="shared" si="0"/>
        <v>1.1875</v>
      </c>
      <c r="F44" s="5">
        <v>450</v>
      </c>
    </row>
    <row r="45" spans="1:6" x14ac:dyDescent="0.35">
      <c r="A45" s="14" t="s">
        <v>39</v>
      </c>
      <c r="B45" s="15"/>
      <c r="C45" s="5">
        <f>680</f>
        <v>680</v>
      </c>
      <c r="D45" s="6">
        <f t="shared" si="0"/>
        <v>0</v>
      </c>
      <c r="F45" s="5">
        <v>624</v>
      </c>
    </row>
    <row r="46" spans="1:6" x14ac:dyDescent="0.35">
      <c r="A46" s="3" t="s">
        <v>40</v>
      </c>
      <c r="B46" s="8">
        <f>(B44)+(B45)</f>
        <v>456</v>
      </c>
      <c r="C46" s="7">
        <f>((C43)+(C44))+(C45)</f>
        <v>1064</v>
      </c>
      <c r="D46" s="9">
        <f t="shared" si="0"/>
        <v>0.42857142857142855</v>
      </c>
      <c r="F46" s="7">
        <f>((F43)+(F44))+(F45)</f>
        <v>1074</v>
      </c>
    </row>
    <row r="47" spans="1:6" x14ac:dyDescent="0.35">
      <c r="A47" s="3" t="s">
        <v>41</v>
      </c>
      <c r="B47" s="4"/>
      <c r="C47" s="4"/>
      <c r="D47" s="6" t="str">
        <f t="shared" ref="D47:D54" si="1">IF(C47=0,"",(B47)/(C47))</f>
        <v/>
      </c>
      <c r="F47" s="4"/>
    </row>
    <row r="48" spans="1:6" x14ac:dyDescent="0.35">
      <c r="A48" s="3" t="s">
        <v>42</v>
      </c>
      <c r="B48" s="4">
        <v>6500</v>
      </c>
      <c r="C48" s="5">
        <f>6500</f>
        <v>6500</v>
      </c>
      <c r="D48" s="6">
        <f t="shared" si="1"/>
        <v>1</v>
      </c>
      <c r="F48" s="5">
        <f>6500</f>
        <v>6500</v>
      </c>
    </row>
    <row r="49" spans="1:6" x14ac:dyDescent="0.35">
      <c r="A49" s="3" t="s">
        <v>43</v>
      </c>
      <c r="B49" s="7">
        <f>(B47)+(B48)</f>
        <v>6500</v>
      </c>
      <c r="C49" s="7">
        <f>(C47)+(C48)</f>
        <v>6500</v>
      </c>
      <c r="D49" s="9">
        <f t="shared" si="1"/>
        <v>1</v>
      </c>
      <c r="F49" s="7">
        <f>(F47)+(F48)</f>
        <v>6500</v>
      </c>
    </row>
    <row r="50" spans="1:6" x14ac:dyDescent="0.35">
      <c r="A50" s="3" t="s">
        <v>44</v>
      </c>
      <c r="B50" s="8"/>
      <c r="C50" s="4"/>
      <c r="D50" s="6" t="str">
        <f t="shared" si="1"/>
        <v/>
      </c>
      <c r="F50" s="4"/>
    </row>
    <row r="51" spans="1:6" x14ac:dyDescent="0.35">
      <c r="A51" s="3" t="s">
        <v>45</v>
      </c>
      <c r="B51" s="4">
        <v>7200</v>
      </c>
      <c r="C51" s="5">
        <f>7200</f>
        <v>7200</v>
      </c>
      <c r="D51" s="6">
        <f t="shared" si="1"/>
        <v>1</v>
      </c>
      <c r="F51" s="5">
        <f>7200</f>
        <v>7200</v>
      </c>
    </row>
    <row r="52" spans="1:6" x14ac:dyDescent="0.35">
      <c r="A52" s="3" t="s">
        <v>46</v>
      </c>
      <c r="B52" s="7">
        <f>(B50)+(B51)</f>
        <v>7200</v>
      </c>
      <c r="C52" s="7">
        <f>(C50)+(C51)</f>
        <v>7200</v>
      </c>
      <c r="D52" s="9">
        <f t="shared" si="1"/>
        <v>1</v>
      </c>
      <c r="F52" s="7">
        <f>(F50)+(F51)</f>
        <v>7200</v>
      </c>
    </row>
    <row r="53" spans="1:6" x14ac:dyDescent="0.35">
      <c r="A53" s="3" t="s">
        <v>47</v>
      </c>
      <c r="B53" s="7">
        <f>((((B27)+(B42))+(B46))+(B49))+(B52)</f>
        <v>23795.410000000003</v>
      </c>
      <c r="C53" s="7">
        <f>((((C27)+(C42))+(C46))+(C49))+(C52)</f>
        <v>23210</v>
      </c>
      <c r="D53" s="9">
        <f t="shared" si="1"/>
        <v>1.025222317966394</v>
      </c>
      <c r="F53" s="7">
        <f>((((F27)+(F42))+(F46))+(F49))+(F52)</f>
        <v>23500</v>
      </c>
    </row>
    <row r="54" spans="1:6" x14ac:dyDescent="0.35">
      <c r="A54" s="3" t="s">
        <v>48</v>
      </c>
      <c r="B54" s="7">
        <f>(B11)-(B53)</f>
        <v>1515.8599999999969</v>
      </c>
      <c r="C54" s="7">
        <f>(C11)-(C53)</f>
        <v>0</v>
      </c>
      <c r="D54" s="9" t="str">
        <f t="shared" si="1"/>
        <v/>
      </c>
      <c r="F54" s="7">
        <f>(F11)-(F53)</f>
        <v>0</v>
      </c>
    </row>
    <row r="56" spans="1:6" x14ac:dyDescent="0.35">
      <c r="B56" t="s">
        <v>53</v>
      </c>
    </row>
    <row r="57" spans="1:6" x14ac:dyDescent="0.35">
      <c r="B57" t="s">
        <v>54</v>
      </c>
    </row>
  </sheetData>
  <mergeCells count="2">
    <mergeCell ref="A2:F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Bruce Logue</cp:lastModifiedBy>
  <cp:lastPrinted>2020-01-27T21:15:28Z</cp:lastPrinted>
  <dcterms:created xsi:type="dcterms:W3CDTF">2019-06-30T01:12:41Z</dcterms:created>
  <dcterms:modified xsi:type="dcterms:W3CDTF">2020-01-27T22:46:19Z</dcterms:modified>
</cp:coreProperties>
</file>